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diemplus/Desktop/"/>
    </mc:Choice>
  </mc:AlternateContent>
  <xr:revisionPtr revIDLastSave="0" documentId="13_ncr:1_{268ADEB7-D066-354F-B777-CE9FEB59FE63}" xr6:coauthVersionLast="47" xr6:coauthVersionMax="47" xr10:uidLastSave="{00000000-0000-0000-0000-000000000000}"/>
  <bookViews>
    <workbookView xWindow="0" yWindow="500" windowWidth="38400" windowHeight="19860" xr2:uid="{98A10448-EE17-774E-BC69-515DFC3AF22B}"/>
  </bookViews>
  <sheets>
    <sheet name="2021 100% Per Diem Dedu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" l="1"/>
  <c r="C39" i="2"/>
  <c r="C30" i="2"/>
  <c r="C33" i="2" s="1"/>
  <c r="C53" i="2"/>
  <c r="B53" i="2"/>
  <c r="B70" i="2"/>
  <c r="C69" i="2"/>
  <c r="B69" i="2"/>
  <c r="B50" i="2"/>
  <c r="C65" i="2"/>
  <c r="C75" i="2" s="1"/>
  <c r="C64" i="2"/>
  <c r="B64" i="2"/>
  <c r="B67" i="2" s="1"/>
  <c r="D44" i="2" s="1"/>
  <c r="C49" i="2"/>
  <c r="C58" i="2" s="1"/>
  <c r="C48" i="2"/>
  <c r="B48" i="2"/>
  <c r="B41" i="2"/>
  <c r="B39" i="2"/>
  <c r="B40" i="2" s="1"/>
  <c r="B30" i="2"/>
  <c r="B31" i="2" s="1"/>
  <c r="B32" i="2" s="1"/>
  <c r="B29" i="2"/>
  <c r="C29" i="2" l="1"/>
  <c r="C40" i="2"/>
  <c r="C31" i="2"/>
  <c r="C32" i="2" s="1"/>
  <c r="C34" i="2" s="1"/>
  <c r="C42" i="2"/>
  <c r="C43" i="2" s="1"/>
  <c r="C44" i="2" s="1"/>
  <c r="B71" i="2"/>
  <c r="B72" i="2" s="1"/>
  <c r="B51" i="2"/>
  <c r="B42" i="2"/>
  <c r="B43" i="2" s="1"/>
  <c r="B44" i="2" s="1"/>
  <c r="C67" i="2"/>
  <c r="B33" i="2"/>
  <c r="B34" i="2" s="1"/>
  <c r="C51" i="2"/>
  <c r="C54" i="2" s="1"/>
  <c r="C45" i="2" l="1"/>
  <c r="B54" i="2"/>
  <c r="B55" i="2" s="1"/>
  <c r="C70" i="2"/>
  <c r="C72" i="2" s="1"/>
  <c r="C55" i="2"/>
  <c r="B45" i="2"/>
  <c r="B19" i="2" s="1"/>
  <c r="C59" i="2" l="1"/>
  <c r="C60" i="2" s="1"/>
  <c r="C61" i="2" s="1"/>
  <c r="B21" i="2" s="1"/>
  <c r="C57" i="2"/>
  <c r="C74" i="2"/>
  <c r="C76" i="2"/>
  <c r="C77" i="2" s="1"/>
  <c r="C78" i="2" s="1"/>
  <c r="B22" i="2" s="1"/>
  <c r="F5" i="2" s="1"/>
  <c r="H5" i="2"/>
  <c r="B20" i="2"/>
  <c r="D5" i="2" s="1"/>
  <c r="E5" i="2" s="1"/>
  <c r="B24" i="2" l="1"/>
  <c r="B25" i="2"/>
</calcChain>
</file>

<file path=xl/sharedStrings.xml><?xml version="1.0" encoding="utf-8"?>
<sst xmlns="http://schemas.openxmlformats.org/spreadsheetml/2006/main" count="80" uniqueCount="65">
  <si>
    <t xml:space="preserve">Average Weekly Miles Per Driver* </t>
  </si>
  <si>
    <t>Average Nights Drivers Are Away From Home</t>
  </si>
  <si>
    <t>Average Annual Driver Wages</t>
  </si>
  <si>
    <t>Worker Comp Rate (i.e. $10/$100 of wages)</t>
  </si>
  <si>
    <t>* - Used solely to calculate Extra Equivalent Per Mile Cash driver benefit</t>
  </si>
  <si>
    <t>PER DIEM BENEFITS SUMMARY</t>
  </si>
  <si>
    <t>ANNUAL</t>
  </si>
  <si>
    <t>Savings To Fleet Per Driver</t>
  </si>
  <si>
    <t>Total Fleet Savings</t>
  </si>
  <si>
    <t>Effective Per Mile Pay Raise - Married Driver</t>
  </si>
  <si>
    <t>Effective Per Mile Pay Raise - Single Driver</t>
  </si>
  <si>
    <t xml:space="preserve">INCOME &amp; PAYROLL TAX SAVINGS TO A FLEET  </t>
  </si>
  <si>
    <t>Per Diem Rate</t>
  </si>
  <si>
    <t>Per Diem x Days Away From Home</t>
  </si>
  <si>
    <t>20% Non-Deductible Per Diem*</t>
  </si>
  <si>
    <t>Tax on Non-Deductible Per Diem (x  Tax Rate)*</t>
  </si>
  <si>
    <t>Payroll Tax Savings @ 7.65% Employer Share FICA</t>
  </si>
  <si>
    <t>Annual Tax Savings to Fleet / Driver</t>
  </si>
  <si>
    <t>* Congress temporarily increased the business meals deduction to 100% for 2021 &amp; 2022</t>
  </si>
  <si>
    <t>WORKER COMP SAVINGS TO A FLEET</t>
  </si>
  <si>
    <t>Drivers Weekly Income</t>
  </si>
  <si>
    <t>Rate/$100 of wages</t>
  </si>
  <si>
    <t>Adjusted Worker Comp Wages</t>
  </si>
  <si>
    <t>Annual Work Comp Savings to Fleet/Driver</t>
  </si>
  <si>
    <t>MARRIED DRIVER BENEFIT OF PER DIEM</t>
  </si>
  <si>
    <t>No Per Diem</t>
  </si>
  <si>
    <t>Per Diem</t>
  </si>
  <si>
    <t>Wages</t>
  </si>
  <si>
    <t>Company-Paid Per Diem</t>
  </si>
  <si>
    <t>Standard Deduction on U.S. Income Tax Return</t>
  </si>
  <si>
    <t>Taxable Income</t>
  </si>
  <si>
    <t>Income Tax Calculation</t>
  </si>
  <si>
    <t>Total Income Tax</t>
  </si>
  <si>
    <t>Driver Tax Savings Breakdown</t>
  </si>
  <si>
    <t>Income Tax Savings</t>
  </si>
  <si>
    <t>Payroll Tax Savings @ 7.65% Employee Share FICA</t>
  </si>
  <si>
    <t>Total Income &amp; Payroll Tax Savings</t>
  </si>
  <si>
    <t>Weekly Income &amp; Payroll Tax Savings</t>
  </si>
  <si>
    <t>Extra Equivalent Per Mile Cash</t>
  </si>
  <si>
    <t>SINGLE DRIVER BENEFIT OF PER DIEM</t>
  </si>
  <si>
    <t>Number of OTR Drivers</t>
  </si>
  <si>
    <t>1st Year Fleet Savings</t>
  </si>
  <si>
    <t>Fleet Savings Per Driver</t>
  </si>
  <si>
    <t>Per Mile Driver Pay Raise</t>
  </si>
  <si>
    <t>Total Combined Savings To Fleet</t>
  </si>
  <si>
    <t>Savings from Pandemic Relief for 2021 &amp; 2022</t>
  </si>
  <si>
    <t>Additional Per Driver Savings</t>
  </si>
  <si>
    <t>Additional Fleet Savings</t>
  </si>
  <si>
    <t>Per Diem Exclusion ($69/day x 5.4 days)</t>
  </si>
  <si>
    <t>10% not over $10,275</t>
  </si>
  <si>
    <t>12% in excess of $10,275 - $41,775</t>
  </si>
  <si>
    <t>22% in excess of $41,775 - $89,075</t>
  </si>
  <si>
    <t>10% not over $20,550</t>
  </si>
  <si>
    <t>12% in excess of $20,550- $83,550</t>
  </si>
  <si>
    <t>ENTER YOUR FLEET INFORMATION BELOW</t>
  </si>
  <si>
    <t>Effective Corporate Federal  Income Tax Rate**</t>
  </si>
  <si>
    <r>
      <t>Daily Rate Per Diem  (</t>
    </r>
    <r>
      <rPr>
        <i/>
        <sz val="14"/>
        <color theme="0" tint="-4.9989318521683403E-2"/>
        <rFont val="Helvetica Light"/>
      </rPr>
      <t>$69 default</t>
    </r>
    <r>
      <rPr>
        <sz val="14"/>
        <color theme="0" tint="-4.9989318521683403E-2"/>
        <rFont val="Helvetica Light"/>
      </rPr>
      <t>)</t>
    </r>
  </si>
  <si>
    <t>Use our calculator to project the savings Per Diem Plus® can achieve for your trucking company</t>
  </si>
  <si>
    <t>** - The 2022 tax savings over 2020 increase proportionally with the effective tax rate</t>
  </si>
  <si>
    <t>Additional Fleet Savings Over CPM</t>
  </si>
  <si>
    <r>
      <t xml:space="preserve">Cent Per Mile Per Diem Rate </t>
    </r>
    <r>
      <rPr>
        <sz val="11"/>
        <color theme="0" tint="-4.9989318521683403E-2"/>
        <rFont val="Helvetica Light"/>
      </rPr>
      <t>(if applicable)</t>
    </r>
  </si>
  <si>
    <t>DAILY</t>
  </si>
  <si>
    <t>CPM</t>
  </si>
  <si>
    <t>BASIC PER DIEM BENEFIT CALCULATOR</t>
  </si>
  <si>
    <t>View Itemized Per Diem Benefit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</si>
</sst>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0_);_([$$-409]* \(#,##0.000\);_([$$-409]* &quot;-&quot;??_);_(@_)"/>
    <numFmt numFmtId="166" formatCode="_([$$-409]* #,##0_);_([$$-409]* \(#,##0\);_([$$-409]* &quot;-&quot;??_);_(@_)"/>
    <numFmt numFmtId="167" formatCode="&quot;$&quot;#,##0.000_);[Red]\(&quot;$&quot;#,##0.000\)"/>
    <numFmt numFmtId="168" formatCode="&quot;$&quot;#,##0"/>
    <numFmt numFmtId="169" formatCode="&quot;$&quot;#,##0.00"/>
    <numFmt numFmtId="170" formatCode="&quot;$&quot;#,##0.000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20"/>
      <color theme="0"/>
      <name val="Helvetica Light"/>
    </font>
    <font>
      <b/>
      <sz val="16"/>
      <color theme="1"/>
      <name val="Helvetica Light"/>
    </font>
    <font>
      <sz val="14"/>
      <color theme="1"/>
      <name val="Helvetica Light"/>
    </font>
    <font>
      <b/>
      <sz val="16"/>
      <color rgb="FF000000"/>
      <name val="Helvetica Light"/>
    </font>
    <font>
      <b/>
      <sz val="16"/>
      <color theme="0" tint="-4.9989318521683403E-2"/>
      <name val="Helvetica Light"/>
    </font>
    <font>
      <sz val="12"/>
      <color theme="1"/>
      <name val="Helvetica Light"/>
    </font>
    <font>
      <sz val="12"/>
      <color theme="0"/>
      <name val="Helvetica Light"/>
    </font>
    <font>
      <sz val="14"/>
      <color theme="0" tint="-4.9989318521683403E-2"/>
      <name val="Helvetica Light"/>
    </font>
    <font>
      <sz val="10"/>
      <color theme="0" tint="-4.9989318521683403E-2"/>
      <name val="Helvetica Light"/>
    </font>
    <font>
      <sz val="10"/>
      <color theme="1"/>
      <name val="Helvetica Light"/>
    </font>
    <font>
      <b/>
      <sz val="14"/>
      <color theme="0"/>
      <name val="Helvetica Light"/>
    </font>
    <font>
      <sz val="11"/>
      <color theme="0" tint="-4.9989318521683403E-2"/>
      <name val="Helvetica Light"/>
    </font>
    <font>
      <b/>
      <sz val="11"/>
      <color theme="0"/>
      <name val="Helvetica Light"/>
    </font>
    <font>
      <sz val="14"/>
      <color rgb="FF002060"/>
      <name val="Helvetica Light"/>
    </font>
    <font>
      <sz val="18"/>
      <color rgb="FF92D050"/>
      <name val="Helvetica Light"/>
    </font>
    <font>
      <sz val="12"/>
      <color rgb="FF92D050"/>
      <name val="Helvetica Light"/>
    </font>
    <font>
      <i/>
      <sz val="14"/>
      <color theme="0" tint="-4.9989318521683403E-2"/>
      <name val="Helvetica Light"/>
    </font>
    <font>
      <sz val="12"/>
      <color theme="0"/>
      <name val="Helvetica"/>
      <family val="2"/>
    </font>
    <font>
      <sz val="12"/>
      <color theme="9" tint="-0.249977111117893"/>
      <name val="Helvetica"/>
      <family val="2"/>
    </font>
    <font>
      <sz val="11"/>
      <color theme="0"/>
      <name val="Helvetica"/>
      <family val="2"/>
    </font>
    <font>
      <sz val="14"/>
      <color theme="0"/>
      <name val="Helvetica Light"/>
    </font>
    <font>
      <sz val="10"/>
      <color theme="0"/>
      <name val="Helvetica Light"/>
    </font>
    <font>
      <sz val="11"/>
      <color theme="0"/>
      <name val="Helvetica Light"/>
    </font>
    <font>
      <b/>
      <sz val="12"/>
      <color theme="0"/>
      <name val="Helvetica Light"/>
    </font>
    <font>
      <u/>
      <sz val="12"/>
      <color theme="10"/>
      <name val="Calibri"/>
      <family val="2"/>
      <scheme val="minor"/>
    </font>
    <font>
      <u/>
      <sz val="12"/>
      <color rgb="FF00B050"/>
      <name val="Helvetica Light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80">
    <xf numFmtId="0" fontId="0" fillId="0" borderId="0" xfId="0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vertical="top" wrapText="1"/>
    </xf>
    <xf numFmtId="0" fontId="8" fillId="3" borderId="0" xfId="0" applyFont="1" applyFill="1" applyProtection="1"/>
    <xf numFmtId="0" fontId="20" fillId="3" borderId="0" xfId="0" applyFont="1" applyFill="1" applyAlignment="1" applyProtection="1">
      <alignment horizontal="center" vertical="center" wrapText="1"/>
    </xf>
    <xf numFmtId="0" fontId="21" fillId="3" borderId="0" xfId="0" applyFont="1" applyFill="1" applyProtection="1"/>
    <xf numFmtId="0" fontId="20" fillId="3" borderId="0" xfId="0" applyFont="1" applyFill="1" applyAlignment="1" applyProtection="1">
      <alignment horizontal="center" wrapText="1"/>
    </xf>
    <xf numFmtId="0" fontId="8" fillId="3" borderId="0" xfId="0" applyFont="1" applyFill="1"/>
    <xf numFmtId="0" fontId="10" fillId="3" borderId="0" xfId="0" applyFont="1" applyFill="1" applyAlignment="1" applyProtection="1">
      <alignment vertical="center"/>
    </xf>
    <xf numFmtId="0" fontId="8" fillId="3" borderId="0" xfId="0" applyFont="1" applyFill="1" applyBorder="1" applyProtection="1"/>
    <xf numFmtId="0" fontId="17" fillId="3" borderId="0" xfId="0" applyFont="1" applyFill="1" applyProtection="1"/>
    <xf numFmtId="8" fontId="8" fillId="3" borderId="0" xfId="0" applyNumberFormat="1" applyFont="1" applyFill="1"/>
    <xf numFmtId="44" fontId="8" fillId="3" borderId="0" xfId="1" applyFont="1" applyFill="1" applyProtection="1"/>
    <xf numFmtId="0" fontId="18" fillId="3" borderId="0" xfId="0" applyFont="1" applyFill="1" applyProtection="1"/>
    <xf numFmtId="0" fontId="10" fillId="3" borderId="0" xfId="0" applyFont="1" applyFill="1" applyAlignment="1" applyProtection="1">
      <alignment horizontal="left" vertical="center"/>
    </xf>
    <xf numFmtId="6" fontId="8" fillId="3" borderId="0" xfId="0" applyNumberFormat="1" applyFont="1" applyFill="1"/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6" fillId="4" borderId="1" xfId="0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9" fontId="16" fillId="4" borderId="2" xfId="2" applyFont="1" applyFill="1" applyBorder="1" applyProtection="1">
      <protection locked="0"/>
    </xf>
    <xf numFmtId="44" fontId="16" fillId="4" borderId="2" xfId="1" applyFont="1" applyFill="1" applyBorder="1" applyProtection="1">
      <protection locked="0"/>
    </xf>
    <xf numFmtId="164" fontId="16" fillId="4" borderId="2" xfId="1" applyNumberFormat="1" applyFont="1" applyFill="1" applyBorder="1" applyProtection="1">
      <protection locked="0"/>
    </xf>
    <xf numFmtId="44" fontId="16" fillId="4" borderId="3" xfId="1" applyFont="1" applyFill="1" applyBorder="1" applyProtection="1">
      <protection locked="0"/>
    </xf>
    <xf numFmtId="44" fontId="16" fillId="4" borderId="0" xfId="1" applyFont="1" applyFill="1" applyBorder="1" applyProtection="1">
      <protection locked="0"/>
    </xf>
    <xf numFmtId="0" fontId="22" fillId="3" borderId="0" xfId="0" applyFont="1" applyFill="1" applyAlignment="1" applyProtection="1">
      <alignment horizontal="center" vertical="center" wrapText="1"/>
    </xf>
    <xf numFmtId="0" fontId="13" fillId="5" borderId="0" xfId="0" applyFont="1" applyFill="1" applyBorder="1" applyProtection="1"/>
    <xf numFmtId="0" fontId="13" fillId="5" borderId="0" xfId="0" applyFont="1" applyFill="1" applyBorder="1" applyAlignment="1" applyProtection="1">
      <alignment horizontal="center"/>
    </xf>
    <xf numFmtId="0" fontId="9" fillId="5" borderId="0" xfId="0" applyFont="1" applyFill="1" applyProtection="1"/>
    <xf numFmtId="0" fontId="9" fillId="5" borderId="0" xfId="0" applyFont="1" applyFill="1" applyProtection="1">
      <protection locked="0"/>
    </xf>
    <xf numFmtId="6" fontId="13" fillId="5" borderId="0" xfId="0" applyNumberFormat="1" applyFont="1" applyFill="1" applyProtection="1"/>
    <xf numFmtId="169" fontId="13" fillId="5" borderId="0" xfId="0" applyNumberFormat="1" applyFont="1" applyFill="1" applyProtection="1"/>
    <xf numFmtId="6" fontId="9" fillId="5" borderId="0" xfId="0" applyNumberFormat="1" applyFont="1" applyFill="1" applyProtection="1">
      <protection locked="0"/>
    </xf>
    <xf numFmtId="0" fontId="9" fillId="5" borderId="0" xfId="0" applyFont="1" applyFill="1" applyAlignment="1" applyProtection="1">
      <alignment horizontal="center"/>
    </xf>
    <xf numFmtId="0" fontId="13" fillId="5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right"/>
    </xf>
    <xf numFmtId="0" fontId="13" fillId="5" borderId="0" xfId="0" applyFont="1" applyFill="1" applyBorder="1" applyAlignment="1" applyProtection="1">
      <alignment horizontal="left" vertical="top"/>
    </xf>
    <xf numFmtId="0" fontId="13" fillId="5" borderId="0" xfId="0" applyFont="1" applyFill="1" applyBorder="1" applyAlignment="1" applyProtection="1">
      <alignment horizontal="center" vertical="top"/>
    </xf>
    <xf numFmtId="0" fontId="23" fillId="5" borderId="0" xfId="0" applyFont="1" applyFill="1" applyAlignment="1" applyProtection="1">
      <alignment horizontal="center"/>
    </xf>
    <xf numFmtId="166" fontId="9" fillId="5" borderId="0" xfId="0" applyNumberFormat="1" applyFont="1" applyFill="1" applyProtection="1"/>
    <xf numFmtId="0" fontId="15" fillId="5" borderId="0" xfId="0" applyFont="1" applyFill="1" applyProtection="1"/>
    <xf numFmtId="167" fontId="15" fillId="5" borderId="0" xfId="0" applyNumberFormat="1" applyFont="1" applyFill="1" applyProtection="1"/>
    <xf numFmtId="0" fontId="24" fillId="5" borderId="0" xfId="0" applyFont="1" applyFill="1" applyProtection="1"/>
    <xf numFmtId="168" fontId="23" fillId="5" borderId="0" xfId="0" applyNumberFormat="1" applyFont="1" applyFill="1" applyProtection="1"/>
    <xf numFmtId="169" fontId="15" fillId="5" borderId="0" xfId="0" applyNumberFormat="1" applyFont="1" applyFill="1" applyProtection="1"/>
    <xf numFmtId="170" fontId="9" fillId="5" borderId="0" xfId="0" applyNumberFormat="1" applyFont="1" applyFill="1" applyProtection="1"/>
    <xf numFmtId="0" fontId="9" fillId="5" borderId="0" xfId="0" applyFont="1" applyFill="1" applyBorder="1" applyProtection="1"/>
    <xf numFmtId="168" fontId="23" fillId="5" borderId="0" xfId="0" applyNumberFormat="1" applyFont="1" applyFill="1" applyBorder="1" applyProtection="1"/>
    <xf numFmtId="166" fontId="25" fillId="5" borderId="0" xfId="0" applyNumberFormat="1" applyFont="1" applyFill="1" applyProtection="1"/>
    <xf numFmtId="0" fontId="25" fillId="5" borderId="0" xfId="0" applyFont="1" applyFill="1" applyProtection="1"/>
    <xf numFmtId="168" fontId="13" fillId="5" borderId="0" xfId="0" applyNumberFormat="1" applyFont="1" applyFill="1" applyProtection="1"/>
    <xf numFmtId="0" fontId="9" fillId="5" borderId="0" xfId="0" applyFont="1" applyFill="1" applyAlignment="1" applyProtection="1">
      <alignment wrapText="1"/>
    </xf>
    <xf numFmtId="0" fontId="9" fillId="5" borderId="0" xfId="0" applyFont="1" applyFill="1" applyAlignment="1" applyProtection="1">
      <alignment horizontal="center" wrapText="1"/>
    </xf>
    <xf numFmtId="0" fontId="9" fillId="5" borderId="0" xfId="0" applyFont="1" applyFill="1" applyAlignment="1" applyProtection="1">
      <alignment horizontal="right" wrapText="1"/>
    </xf>
    <xf numFmtId="0" fontId="9" fillId="5" borderId="0" xfId="0" applyFont="1" applyFill="1" applyAlignment="1" applyProtection="1">
      <alignment horizontal="left" wrapText="1"/>
    </xf>
    <xf numFmtId="0" fontId="26" fillId="5" borderId="0" xfId="0" applyFont="1" applyFill="1" applyAlignment="1" applyProtection="1">
      <alignment wrapText="1"/>
    </xf>
    <xf numFmtId="169" fontId="23" fillId="5" borderId="0" xfId="0" applyNumberFormat="1" applyFont="1" applyFill="1" applyProtection="1"/>
    <xf numFmtId="168" fontId="23" fillId="5" borderId="0" xfId="1" applyNumberFormat="1" applyFont="1" applyFill="1" applyAlignment="1" applyProtection="1">
      <alignment horizontal="right"/>
    </xf>
    <xf numFmtId="164" fontId="23" fillId="5" borderId="0" xfId="0" applyNumberFormat="1" applyFont="1" applyFill="1" applyProtection="1"/>
    <xf numFmtId="0" fontId="9" fillId="5" borderId="0" xfId="0" applyFont="1" applyFill="1"/>
    <xf numFmtId="44" fontId="28" fillId="3" borderId="0" xfId="4" applyNumberFormat="1" applyFont="1" applyFill="1" applyBorder="1" applyProtection="1">
      <protection locked="0"/>
    </xf>
    <xf numFmtId="0" fontId="9" fillId="3" borderId="0" xfId="3" applyFont="1" applyFill="1" applyAlignment="1">
      <alignment horizontal="center" vertical="center" wrapText="1"/>
    </xf>
    <xf numFmtId="0" fontId="3" fillId="3" borderId="0" xfId="3" applyFont="1" applyFill="1" applyAlignment="1">
      <alignment horizontal="center" vertical="top"/>
    </xf>
    <xf numFmtId="0" fontId="13" fillId="5" borderId="0" xfId="0" applyFont="1" applyFill="1" applyBorder="1" applyAlignment="1" applyProtection="1">
      <alignment horizontal="center" vertical="top"/>
    </xf>
    <xf numFmtId="6" fontId="17" fillId="3" borderId="0" xfId="0" applyNumberFormat="1" applyFont="1" applyFill="1" applyAlignment="1" applyProtection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17" fillId="3" borderId="0" xfId="0" applyNumberFormat="1" applyFont="1" applyFill="1" applyAlignment="1" applyProtection="1">
      <alignment horizontal="center" vertical="center"/>
    </xf>
    <xf numFmtId="166" fontId="17" fillId="3" borderId="0" xfId="0" applyNumberFormat="1" applyFont="1" applyFill="1" applyAlignment="1" applyProtection="1">
      <alignment horizontal="center" vertical="center"/>
    </xf>
    <xf numFmtId="0" fontId="13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wrapText="1"/>
    </xf>
    <xf numFmtId="0" fontId="9" fillId="5" borderId="0" xfId="0" applyFont="1" applyFill="1" applyBorder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right" wrapText="1"/>
    </xf>
    <xf numFmtId="0" fontId="9" fillId="5" borderId="0" xfId="0" applyFont="1" applyFill="1" applyBorder="1" applyAlignment="1" applyProtection="1">
      <alignment horizontal="left" wrapText="1"/>
    </xf>
    <xf numFmtId="0" fontId="26" fillId="5" borderId="0" xfId="0" applyFont="1" applyFill="1" applyBorder="1" applyAlignment="1" applyProtection="1">
      <alignment wrapText="1"/>
    </xf>
    <xf numFmtId="168" fontId="13" fillId="5" borderId="0" xfId="0" applyNumberFormat="1" applyFont="1" applyFill="1" applyBorder="1" applyProtection="1"/>
    <xf numFmtId="169" fontId="23" fillId="5" borderId="0" xfId="0" applyNumberFormat="1" applyFont="1" applyFill="1" applyBorder="1" applyProtection="1"/>
    <xf numFmtId="0" fontId="13" fillId="5" borderId="0" xfId="0" applyFont="1" applyFill="1" applyBorder="1" applyAlignment="1" applyProtection="1">
      <alignment horizontal="center" vertical="center" wrapText="1"/>
    </xf>
  </cellXfs>
  <cellStyles count="5">
    <cellStyle name="Currency" xfId="1" builtinId="4"/>
    <cellStyle name="Good" xfId="3" builtinId="26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erdiemplus.com/fleet-per-diem-benefit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ACFA-DF73-0F4F-B722-7F17CDAFEA92}">
  <dimension ref="A1:K79"/>
  <sheetViews>
    <sheetView tabSelected="1" zoomScale="140" zoomScaleNormal="140" workbookViewId="0">
      <selection activeCell="B13" sqref="B13"/>
    </sheetView>
  </sheetViews>
  <sheetFormatPr baseColWidth="10" defaultColWidth="8.83203125" defaultRowHeight="16"/>
  <cols>
    <col min="1" max="1" width="59" style="8" customWidth="1"/>
    <col min="2" max="2" width="19.83203125" style="8" customWidth="1"/>
    <col min="3" max="3" width="16.6640625" style="8" customWidth="1"/>
    <col min="4" max="4" width="24" style="8" customWidth="1"/>
    <col min="5" max="5" width="17" style="8" customWidth="1"/>
    <col min="6" max="6" width="16.33203125" style="8" customWidth="1"/>
    <col min="7" max="7" width="5" style="8" customWidth="1"/>
    <col min="8" max="8" width="16.6640625" style="8" customWidth="1"/>
    <col min="9" max="9" width="9.6640625" style="8" bestFit="1" customWidth="1"/>
    <col min="10" max="16384" width="8.83203125" style="8"/>
  </cols>
  <sheetData>
    <row r="1" spans="1:11" s="1" customFormat="1" ht="26">
      <c r="A1" s="63" t="s">
        <v>63</v>
      </c>
      <c r="B1" s="63"/>
      <c r="C1" s="63"/>
      <c r="D1" s="63"/>
      <c r="E1" s="63"/>
      <c r="F1" s="63"/>
      <c r="G1" s="63"/>
      <c r="H1" s="63"/>
    </row>
    <row r="2" spans="1:11" s="2" customFormat="1" ht="21" customHeight="1">
      <c r="A2" s="62" t="s">
        <v>57</v>
      </c>
      <c r="B2" s="62"/>
      <c r="C2" s="62"/>
      <c r="D2" s="62"/>
      <c r="E2" s="62"/>
      <c r="F2" s="62"/>
      <c r="G2" s="62"/>
      <c r="H2" s="62"/>
    </row>
    <row r="3" spans="1:11" s="1" customFormat="1" ht="21">
      <c r="A3" s="3"/>
      <c r="B3" s="3"/>
      <c r="C3" s="3"/>
      <c r="D3" s="3"/>
      <c r="E3" s="3"/>
    </row>
    <row r="4" spans="1:11" ht="36" customHeight="1">
      <c r="A4" s="66" t="s">
        <v>54</v>
      </c>
      <c r="B4" s="66"/>
      <c r="C4" s="4"/>
      <c r="D4" s="5" t="s">
        <v>41</v>
      </c>
      <c r="E4" s="26" t="s">
        <v>59</v>
      </c>
      <c r="F4" s="5" t="s">
        <v>43</v>
      </c>
      <c r="G4" s="6"/>
      <c r="H4" s="7" t="s">
        <v>42</v>
      </c>
    </row>
    <row r="5" spans="1:11" ht="20" customHeight="1">
      <c r="A5" s="9" t="s">
        <v>0</v>
      </c>
      <c r="B5" s="19">
        <v>2500</v>
      </c>
      <c r="C5" s="10"/>
      <c r="D5" s="65">
        <f>B20</f>
        <v>100285.28999999998</v>
      </c>
      <c r="E5" s="68">
        <f>(-B8*C45)+D5</f>
        <v>30974.789999999979</v>
      </c>
      <c r="F5" s="67">
        <f>B22</f>
        <v>3.7528764705882352E-2</v>
      </c>
      <c r="G5" s="11"/>
      <c r="H5" s="65">
        <f>B19</f>
        <v>3581.6174999999994</v>
      </c>
      <c r="J5" s="12"/>
      <c r="K5" s="13"/>
    </row>
    <row r="6" spans="1:11" ht="20" customHeight="1">
      <c r="A6" s="9" t="s">
        <v>1</v>
      </c>
      <c r="B6" s="20">
        <v>255</v>
      </c>
      <c r="C6" s="4"/>
      <c r="D6" s="65"/>
      <c r="E6" s="68"/>
      <c r="F6" s="67"/>
      <c r="G6" s="14"/>
      <c r="H6" s="65"/>
    </row>
    <row r="7" spans="1:11" ht="20" customHeight="1">
      <c r="A7" s="15" t="s">
        <v>55</v>
      </c>
      <c r="B7" s="21">
        <v>0.1</v>
      </c>
      <c r="C7" s="4"/>
      <c r="D7" s="4"/>
      <c r="E7" s="4"/>
      <c r="F7" s="4"/>
      <c r="G7" s="4"/>
      <c r="H7" s="4"/>
      <c r="I7" s="16"/>
      <c r="J7" s="16"/>
    </row>
    <row r="8" spans="1:11" ht="20" customHeight="1">
      <c r="A8" s="15" t="s">
        <v>40</v>
      </c>
      <c r="B8" s="20">
        <v>28</v>
      </c>
      <c r="C8" s="4"/>
      <c r="D8" s="4"/>
      <c r="E8" s="4"/>
      <c r="F8" s="4"/>
      <c r="G8" s="4"/>
      <c r="H8" s="4"/>
      <c r="I8" s="16"/>
      <c r="J8" s="16"/>
    </row>
    <row r="9" spans="1:11" ht="20" customHeight="1">
      <c r="A9" s="9" t="s">
        <v>56</v>
      </c>
      <c r="B9" s="22">
        <v>69</v>
      </c>
      <c r="C9" s="4"/>
      <c r="D9" s="4"/>
      <c r="E9" s="4"/>
      <c r="F9" s="4"/>
      <c r="G9" s="4"/>
      <c r="H9" s="4"/>
      <c r="I9" s="16"/>
      <c r="J9" s="16"/>
    </row>
    <row r="10" spans="1:11" ht="20" customHeight="1">
      <c r="A10" s="9" t="s">
        <v>2</v>
      </c>
      <c r="B10" s="23">
        <v>68000</v>
      </c>
      <c r="C10" s="4"/>
      <c r="D10" s="4"/>
      <c r="E10" s="4"/>
      <c r="F10" s="4"/>
      <c r="G10" s="4"/>
      <c r="H10" s="4"/>
      <c r="I10" s="16"/>
      <c r="J10" s="16"/>
    </row>
    <row r="11" spans="1:11" ht="18">
      <c r="A11" s="9" t="s">
        <v>3</v>
      </c>
      <c r="B11" s="24">
        <v>12</v>
      </c>
      <c r="C11" s="4"/>
      <c r="D11" s="4"/>
      <c r="E11" s="4"/>
      <c r="F11" s="4"/>
      <c r="G11" s="4"/>
      <c r="H11" s="4"/>
    </row>
    <row r="12" spans="1:11" ht="18">
      <c r="A12" s="9" t="s">
        <v>60</v>
      </c>
      <c r="B12" s="25">
        <v>0.1</v>
      </c>
      <c r="C12" s="4"/>
      <c r="D12" s="4"/>
      <c r="E12" s="4"/>
      <c r="F12" s="4"/>
      <c r="G12" s="4"/>
      <c r="H12" s="4"/>
    </row>
    <row r="13" spans="1:11" ht="18">
      <c r="A13" s="9"/>
      <c r="B13" s="25"/>
      <c r="C13" s="4"/>
      <c r="D13" s="4"/>
      <c r="E13" s="4"/>
      <c r="F13" s="4"/>
      <c r="G13" s="4"/>
      <c r="H13" s="4"/>
    </row>
    <row r="14" spans="1:11" ht="18">
      <c r="A14" s="9"/>
      <c r="B14" s="61" t="s">
        <v>64</v>
      </c>
      <c r="C14" s="4"/>
      <c r="D14" s="4"/>
      <c r="E14" s="4"/>
      <c r="F14" s="4"/>
      <c r="G14" s="4"/>
      <c r="H14" s="4"/>
    </row>
    <row r="15" spans="1:11">
      <c r="A15" s="17" t="s">
        <v>4</v>
      </c>
      <c r="B15" s="4"/>
      <c r="C15" s="4"/>
      <c r="D15" s="4"/>
      <c r="E15" s="4"/>
      <c r="F15" s="4"/>
      <c r="G15" s="4"/>
      <c r="H15" s="4"/>
    </row>
    <row r="16" spans="1:11">
      <c r="A16" s="17" t="s">
        <v>58</v>
      </c>
      <c r="B16" s="4"/>
      <c r="C16" s="4"/>
      <c r="D16" s="4"/>
      <c r="E16" s="4"/>
      <c r="F16" s="4"/>
      <c r="G16" s="4"/>
      <c r="H16" s="4"/>
    </row>
    <row r="17" spans="1:10">
      <c r="A17" s="18"/>
      <c r="B17" s="4"/>
      <c r="C17" s="4"/>
      <c r="D17" s="4"/>
      <c r="E17" s="4"/>
      <c r="F17" s="4"/>
      <c r="G17" s="4"/>
      <c r="H17" s="4"/>
    </row>
    <row r="18" spans="1:10" s="30" customFormat="1" ht="18">
      <c r="A18" s="27" t="s">
        <v>5</v>
      </c>
      <c r="B18" s="28" t="s">
        <v>6</v>
      </c>
      <c r="C18" s="29"/>
      <c r="D18" s="29"/>
      <c r="E18" s="29"/>
      <c r="F18" s="29"/>
      <c r="G18" s="29"/>
      <c r="H18" s="29"/>
    </row>
    <row r="19" spans="1:10" s="30" customFormat="1" ht="18">
      <c r="A19" s="29" t="s">
        <v>7</v>
      </c>
      <c r="B19" s="31">
        <f>B45</f>
        <v>3581.6174999999994</v>
      </c>
      <c r="C19" s="29"/>
      <c r="D19" s="29"/>
      <c r="E19" s="29"/>
      <c r="F19" s="29"/>
      <c r="G19" s="29"/>
      <c r="H19" s="29"/>
    </row>
    <row r="20" spans="1:10" s="30" customFormat="1" ht="18">
      <c r="A20" s="29" t="s">
        <v>8</v>
      </c>
      <c r="B20" s="31">
        <f>B8*B19</f>
        <v>100285.28999999998</v>
      </c>
      <c r="C20" s="29"/>
      <c r="D20" s="29"/>
      <c r="E20" s="29"/>
      <c r="F20" s="29"/>
      <c r="G20" s="29"/>
      <c r="H20" s="29"/>
    </row>
    <row r="21" spans="1:10" s="30" customFormat="1" ht="18">
      <c r="A21" s="29" t="s">
        <v>9</v>
      </c>
      <c r="B21" s="32">
        <f>C61</f>
        <v>2.7117000000000002E-2</v>
      </c>
      <c r="C21" s="29"/>
      <c r="D21" s="29"/>
      <c r="E21" s="29"/>
      <c r="F21" s="29"/>
      <c r="G21" s="29"/>
      <c r="H21" s="29"/>
    </row>
    <row r="22" spans="1:10" s="30" customFormat="1" ht="18">
      <c r="A22" s="29" t="s">
        <v>10</v>
      </c>
      <c r="B22" s="32">
        <f>C78</f>
        <v>3.7528764705882352E-2</v>
      </c>
      <c r="C22" s="29"/>
      <c r="D22" s="29"/>
      <c r="E22" s="29"/>
      <c r="F22" s="29"/>
      <c r="G22" s="29"/>
      <c r="H22" s="29"/>
      <c r="I22" s="33"/>
      <c r="J22" s="33"/>
    </row>
    <row r="23" spans="1:10" s="30" customFormat="1" ht="19" customHeight="1">
      <c r="A23" s="34" t="s">
        <v>45</v>
      </c>
      <c r="B23" s="35"/>
      <c r="C23" s="29"/>
      <c r="D23" s="29"/>
      <c r="E23" s="29"/>
      <c r="F23" s="29"/>
      <c r="G23" s="29"/>
      <c r="H23" s="29"/>
      <c r="I23" s="33"/>
      <c r="J23" s="33"/>
    </row>
    <row r="24" spans="1:10" s="30" customFormat="1" ht="18">
      <c r="A24" s="36" t="s">
        <v>46</v>
      </c>
      <c r="B24" s="31" t="e">
        <f>-#REF!+B19</f>
        <v>#REF!</v>
      </c>
      <c r="C24" s="29"/>
      <c r="D24" s="29"/>
      <c r="E24" s="29"/>
      <c r="F24" s="29"/>
      <c r="G24" s="29"/>
      <c r="H24" s="29"/>
      <c r="I24" s="33"/>
      <c r="J24" s="33"/>
    </row>
    <row r="25" spans="1:10" s="30" customFormat="1" ht="18">
      <c r="A25" s="36" t="s">
        <v>47</v>
      </c>
      <c r="B25" s="31" t="e">
        <f>-#REF!+B20</f>
        <v>#REF!</v>
      </c>
      <c r="C25" s="29"/>
      <c r="D25" s="29"/>
      <c r="E25" s="29"/>
      <c r="F25" s="29"/>
      <c r="G25" s="29"/>
      <c r="H25" s="29"/>
      <c r="I25" s="33"/>
      <c r="J25" s="33"/>
    </row>
    <row r="26" spans="1:10" s="30" customFormat="1" ht="18.5" customHeight="1">
      <c r="A26" s="29"/>
      <c r="B26" s="29"/>
      <c r="C26" s="29"/>
      <c r="D26" s="29"/>
      <c r="E26" s="29"/>
      <c r="F26" s="29"/>
      <c r="G26" s="29"/>
      <c r="H26" s="29"/>
      <c r="I26" s="33"/>
      <c r="J26" s="33"/>
    </row>
    <row r="27" spans="1:10" s="30" customFormat="1" ht="6" customHeight="1">
      <c r="A27" s="29"/>
      <c r="B27" s="29"/>
      <c r="C27" s="29"/>
      <c r="D27" s="29"/>
      <c r="E27" s="29"/>
      <c r="F27" s="29"/>
      <c r="G27" s="29"/>
      <c r="H27" s="29"/>
    </row>
    <row r="28" spans="1:10" s="30" customFormat="1" ht="18.5" customHeight="1">
      <c r="A28" s="37" t="s">
        <v>11</v>
      </c>
      <c r="B28" s="38" t="s">
        <v>61</v>
      </c>
      <c r="C28" s="39" t="s">
        <v>62</v>
      </c>
      <c r="D28" s="40"/>
      <c r="E28" s="29"/>
      <c r="F28" s="29"/>
      <c r="G28" s="29"/>
      <c r="H28" s="29"/>
    </row>
    <row r="29" spans="1:10" s="30" customFormat="1" ht="18.5" customHeight="1">
      <c r="A29" s="29" t="s">
        <v>12</v>
      </c>
      <c r="B29" s="32">
        <f>B9</f>
        <v>69</v>
      </c>
      <c r="C29" s="32">
        <f>B12</f>
        <v>0.1</v>
      </c>
      <c r="D29" s="40"/>
      <c r="E29" s="29"/>
      <c r="F29" s="29"/>
      <c r="G29" s="29"/>
      <c r="H29" s="29"/>
    </row>
    <row r="30" spans="1:10" s="30" customFormat="1" ht="18.5" customHeight="1">
      <c r="A30" s="29" t="s">
        <v>13</v>
      </c>
      <c r="B30" s="31">
        <f>B9*B6</f>
        <v>17595</v>
      </c>
      <c r="C30" s="31">
        <f>B5*B12*51</f>
        <v>12750</v>
      </c>
      <c r="D30" s="29"/>
      <c r="E30" s="29"/>
      <c r="F30" s="29"/>
      <c r="G30" s="29"/>
      <c r="H30" s="29"/>
    </row>
    <row r="31" spans="1:10" s="30" customFormat="1" ht="18.5" customHeight="1">
      <c r="A31" s="29" t="s">
        <v>14</v>
      </c>
      <c r="B31" s="31">
        <f>B30*0</f>
        <v>0</v>
      </c>
      <c r="C31" s="31">
        <f>C30*0</f>
        <v>0</v>
      </c>
      <c r="D31" s="29"/>
      <c r="E31" s="29"/>
      <c r="F31" s="29"/>
      <c r="G31" s="29"/>
      <c r="H31" s="29"/>
    </row>
    <row r="32" spans="1:10" s="30" customFormat="1" ht="18.5" customHeight="1">
      <c r="A32" s="36" t="s">
        <v>15</v>
      </c>
      <c r="B32" s="31">
        <f>B31*-B7</f>
        <v>0</v>
      </c>
      <c r="C32" s="31">
        <f>C31*-C7</f>
        <v>0</v>
      </c>
      <c r="D32" s="29"/>
      <c r="E32" s="29"/>
      <c r="F32" s="29"/>
      <c r="G32" s="29"/>
      <c r="H32" s="29"/>
    </row>
    <row r="33" spans="1:8" s="30" customFormat="1" ht="18.5" customHeight="1">
      <c r="A33" s="29" t="s">
        <v>16</v>
      </c>
      <c r="B33" s="31">
        <f>B30*0.0765</f>
        <v>1346.0174999999999</v>
      </c>
      <c r="C33" s="31">
        <f>C30*0.0765</f>
        <v>975.375</v>
      </c>
      <c r="D33" s="29"/>
      <c r="E33" s="29"/>
      <c r="F33" s="29"/>
      <c r="G33" s="29"/>
      <c r="H33" s="29"/>
    </row>
    <row r="34" spans="1:8" s="30" customFormat="1" ht="18.5" customHeight="1">
      <c r="A34" s="29" t="s">
        <v>17</v>
      </c>
      <c r="B34" s="31">
        <f>B33+B32</f>
        <v>1346.0174999999999</v>
      </c>
      <c r="C34" s="31">
        <f>C33+C32</f>
        <v>975.375</v>
      </c>
      <c r="D34" s="29"/>
      <c r="E34" s="29"/>
      <c r="F34" s="29"/>
      <c r="G34" s="29"/>
      <c r="H34" s="29"/>
    </row>
    <row r="35" spans="1:8" s="30" customFormat="1">
      <c r="A35" s="41"/>
      <c r="B35" s="42"/>
      <c r="C35" s="29"/>
      <c r="D35" s="29"/>
      <c r="E35" s="29"/>
      <c r="F35" s="29"/>
      <c r="G35" s="29"/>
      <c r="H35" s="29"/>
    </row>
    <row r="36" spans="1:8" s="30" customFormat="1">
      <c r="A36" s="43" t="s">
        <v>18</v>
      </c>
      <c r="B36" s="42"/>
      <c r="C36" s="29"/>
      <c r="D36" s="29"/>
      <c r="E36" s="29"/>
      <c r="F36" s="29"/>
      <c r="G36" s="29"/>
      <c r="H36" s="29"/>
    </row>
    <row r="37" spans="1:8" s="30" customFormat="1">
      <c r="A37" s="29"/>
      <c r="B37" s="29"/>
      <c r="C37" s="29"/>
      <c r="D37" s="29"/>
      <c r="E37" s="29"/>
      <c r="F37" s="29"/>
      <c r="G37" s="29"/>
      <c r="H37" s="29"/>
    </row>
    <row r="38" spans="1:8" s="30" customFormat="1" ht="18.5" customHeight="1">
      <c r="A38" s="64" t="s">
        <v>19</v>
      </c>
      <c r="B38" s="64"/>
      <c r="C38" s="29"/>
      <c r="D38" s="29"/>
      <c r="E38" s="29"/>
      <c r="F38" s="29"/>
      <c r="G38" s="29"/>
      <c r="H38" s="29"/>
    </row>
    <row r="39" spans="1:8" s="30" customFormat="1" ht="18.5" customHeight="1">
      <c r="A39" s="29" t="s">
        <v>20</v>
      </c>
      <c r="B39" s="44">
        <f>B10/50</f>
        <v>1360</v>
      </c>
      <c r="C39" s="44">
        <f>B10/50</f>
        <v>1360</v>
      </c>
      <c r="D39" s="29"/>
      <c r="E39" s="29"/>
      <c r="F39" s="29"/>
      <c r="G39" s="29"/>
      <c r="H39" s="29"/>
    </row>
    <row r="40" spans="1:8" s="30" customFormat="1" ht="18.5" customHeight="1">
      <c r="A40" s="29" t="s">
        <v>21</v>
      </c>
      <c r="B40" s="44">
        <f>B39*B11/100</f>
        <v>163.19999999999999</v>
      </c>
      <c r="C40" s="44">
        <f>B39*B11/100</f>
        <v>163.19999999999999</v>
      </c>
      <c r="D40" s="29"/>
      <c r="E40" s="41"/>
      <c r="F40" s="45"/>
      <c r="G40" s="29"/>
      <c r="H40" s="29"/>
    </row>
    <row r="41" spans="1:8" s="30" customFormat="1" ht="18.5" customHeight="1">
      <c r="A41" s="29" t="s">
        <v>48</v>
      </c>
      <c r="B41" s="44">
        <f>-5.4*B9</f>
        <v>-372.6</v>
      </c>
      <c r="C41" s="44">
        <f>-B12*B5</f>
        <v>-250</v>
      </c>
      <c r="D41" s="29"/>
      <c r="E41" s="29"/>
      <c r="F41" s="46"/>
      <c r="G41" s="29"/>
      <c r="H41" s="29"/>
    </row>
    <row r="42" spans="1:8" s="30" customFormat="1" ht="18.5" customHeight="1">
      <c r="A42" s="29" t="s">
        <v>22</v>
      </c>
      <c r="B42" s="44">
        <f>B39+B41</f>
        <v>987.4</v>
      </c>
      <c r="C42" s="44">
        <f>C39+C41</f>
        <v>1110</v>
      </c>
      <c r="D42" s="40"/>
      <c r="E42" s="29"/>
      <c r="F42" s="29"/>
      <c r="G42" s="29"/>
      <c r="H42" s="29"/>
    </row>
    <row r="43" spans="1:8" s="30" customFormat="1" ht="18.5" customHeight="1">
      <c r="A43" s="29" t="s">
        <v>21</v>
      </c>
      <c r="B43" s="44">
        <f>B42*B11/100</f>
        <v>118.488</v>
      </c>
      <c r="C43" s="44">
        <f>C42*B11/100</f>
        <v>133.19999999999999</v>
      </c>
      <c r="D43" s="40"/>
      <c r="E43" s="29"/>
      <c r="F43" s="29"/>
      <c r="G43" s="29"/>
      <c r="H43" s="29"/>
    </row>
    <row r="44" spans="1:8" s="30" customFormat="1" ht="18.5" customHeight="1">
      <c r="A44" s="47" t="s">
        <v>23</v>
      </c>
      <c r="B44" s="48">
        <f>(B40-B43)*50</f>
        <v>2235.5999999999995</v>
      </c>
      <c r="C44" s="48">
        <f>(C40-C43)*50</f>
        <v>1500</v>
      </c>
      <c r="D44" s="49">
        <f>B67-41775</f>
        <v>13275</v>
      </c>
      <c r="E44" s="29"/>
      <c r="F44" s="29"/>
      <c r="G44" s="29"/>
      <c r="H44" s="29"/>
    </row>
    <row r="45" spans="1:8" s="30" customFormat="1" ht="18.5" customHeight="1">
      <c r="A45" s="50" t="s">
        <v>44</v>
      </c>
      <c r="B45" s="51">
        <f>B34+B44</f>
        <v>3581.6174999999994</v>
      </c>
      <c r="C45" s="51">
        <f>C34+C44</f>
        <v>2475.375</v>
      </c>
      <c r="D45" s="29"/>
      <c r="E45" s="29"/>
      <c r="F45" s="29"/>
      <c r="G45" s="29"/>
      <c r="H45" s="29"/>
    </row>
    <row r="46" spans="1:8" s="30" customFormat="1">
      <c r="A46" s="29"/>
      <c r="B46" s="29"/>
      <c r="C46" s="29"/>
      <c r="D46" s="29"/>
      <c r="E46" s="29"/>
      <c r="F46" s="29"/>
      <c r="G46" s="29"/>
      <c r="H46" s="29"/>
    </row>
    <row r="47" spans="1:8" s="71" customFormat="1" ht="19" customHeight="1">
      <c r="A47" s="69" t="s">
        <v>24</v>
      </c>
      <c r="B47" s="70" t="s">
        <v>25</v>
      </c>
      <c r="C47" s="70" t="s">
        <v>26</v>
      </c>
      <c r="D47" s="47"/>
      <c r="E47" s="47"/>
      <c r="F47" s="47"/>
      <c r="G47" s="47"/>
      <c r="H47" s="47"/>
    </row>
    <row r="48" spans="1:8" s="71" customFormat="1" ht="18">
      <c r="A48" s="72" t="s">
        <v>27</v>
      </c>
      <c r="B48" s="48">
        <f>B10</f>
        <v>68000</v>
      </c>
      <c r="C48" s="48">
        <f>B10</f>
        <v>68000</v>
      </c>
      <c r="D48" s="47"/>
      <c r="E48" s="47"/>
      <c r="F48" s="47"/>
      <c r="G48" s="47"/>
      <c r="H48" s="47"/>
    </row>
    <row r="49" spans="1:8" s="71" customFormat="1" ht="18">
      <c r="A49" s="72" t="s">
        <v>28</v>
      </c>
      <c r="B49" s="48">
        <v>0</v>
      </c>
      <c r="C49" s="48">
        <f>-B9*B6</f>
        <v>-17595</v>
      </c>
      <c r="D49" s="47"/>
      <c r="E49" s="47"/>
      <c r="F49" s="47"/>
      <c r="G49" s="47"/>
      <c r="H49" s="47"/>
    </row>
    <row r="50" spans="1:8" s="71" customFormat="1" ht="18">
      <c r="A50" s="72" t="s">
        <v>29</v>
      </c>
      <c r="B50" s="48">
        <f>-25900</f>
        <v>-25900</v>
      </c>
      <c r="C50" s="48">
        <v>-25900</v>
      </c>
      <c r="D50" s="47"/>
      <c r="E50" s="47"/>
      <c r="F50" s="47"/>
      <c r="G50" s="47"/>
      <c r="H50" s="47"/>
    </row>
    <row r="51" spans="1:8" s="71" customFormat="1" ht="18">
      <c r="A51" s="72" t="s">
        <v>30</v>
      </c>
      <c r="B51" s="48">
        <f>B48+B49+B50</f>
        <v>42100</v>
      </c>
      <c r="C51" s="48">
        <f>C48+C49+C50</f>
        <v>24505</v>
      </c>
      <c r="D51" s="47"/>
      <c r="E51" s="47"/>
      <c r="F51" s="47"/>
      <c r="G51" s="47"/>
      <c r="H51" s="47"/>
    </row>
    <row r="52" spans="1:8" s="71" customFormat="1" ht="18">
      <c r="A52" s="73" t="s">
        <v>31</v>
      </c>
      <c r="B52" s="48"/>
      <c r="C52" s="48"/>
      <c r="D52" s="47"/>
      <c r="E52" s="47"/>
      <c r="F52" s="47"/>
      <c r="G52" s="47"/>
      <c r="H52" s="47"/>
    </row>
    <row r="53" spans="1:8" s="71" customFormat="1" ht="18">
      <c r="A53" s="72" t="s">
        <v>52</v>
      </c>
      <c r="B53" s="48">
        <f>20550*0.1</f>
        <v>2055</v>
      </c>
      <c r="C53" s="48">
        <f>20550*0.1</f>
        <v>2055</v>
      </c>
      <c r="D53" s="47"/>
      <c r="E53" s="47"/>
      <c r="F53" s="47"/>
      <c r="G53" s="47"/>
      <c r="H53" s="47"/>
    </row>
    <row r="54" spans="1:8" s="71" customFormat="1" ht="18">
      <c r="A54" s="72" t="s">
        <v>53</v>
      </c>
      <c r="B54" s="48">
        <f>(B51-20550)*0.12</f>
        <v>2586</v>
      </c>
      <c r="C54" s="48">
        <f>(C51-20550)*0.12</f>
        <v>474.59999999999997</v>
      </c>
      <c r="D54" s="47"/>
      <c r="E54" s="47"/>
      <c r="F54" s="47"/>
      <c r="G54" s="47"/>
      <c r="H54" s="47"/>
    </row>
    <row r="55" spans="1:8" s="71" customFormat="1" ht="18">
      <c r="A55" s="74" t="s">
        <v>32</v>
      </c>
      <c r="B55" s="48">
        <f>SUM(B53:B54)</f>
        <v>4641</v>
      </c>
      <c r="C55" s="48">
        <f>SUM(C53:C54)</f>
        <v>2529.6</v>
      </c>
      <c r="D55" s="47"/>
      <c r="E55" s="47"/>
      <c r="F55" s="47"/>
      <c r="G55" s="47"/>
      <c r="H55" s="47"/>
    </row>
    <row r="56" spans="1:8" s="71" customFormat="1" ht="18">
      <c r="A56" s="73" t="s">
        <v>33</v>
      </c>
      <c r="B56" s="48"/>
      <c r="C56" s="48"/>
      <c r="D56" s="47"/>
      <c r="E56" s="47"/>
      <c r="F56" s="47"/>
      <c r="G56" s="47"/>
      <c r="H56" s="47"/>
    </row>
    <row r="57" spans="1:8" s="71" customFormat="1" ht="18">
      <c r="A57" s="75" t="s">
        <v>34</v>
      </c>
      <c r="B57" s="48"/>
      <c r="C57" s="48">
        <f>B55-C55</f>
        <v>2111.4</v>
      </c>
      <c r="D57" s="47"/>
      <c r="E57" s="47"/>
      <c r="F57" s="47"/>
      <c r="G57" s="47"/>
      <c r="H57" s="47"/>
    </row>
    <row r="58" spans="1:8" s="71" customFormat="1" ht="18">
      <c r="A58" s="72" t="s">
        <v>35</v>
      </c>
      <c r="B58" s="48"/>
      <c r="C58" s="48">
        <f>-C49*0.0765</f>
        <v>1346.0174999999999</v>
      </c>
      <c r="D58" s="47"/>
      <c r="E58" s="47"/>
      <c r="F58" s="47"/>
      <c r="G58" s="47"/>
      <c r="H58" s="47"/>
    </row>
    <row r="59" spans="1:8" s="71" customFormat="1" ht="18">
      <c r="A59" s="76" t="s">
        <v>36</v>
      </c>
      <c r="B59" s="48"/>
      <c r="C59" s="77">
        <f>B55-C55+C58</f>
        <v>3457.4175</v>
      </c>
      <c r="D59" s="47"/>
      <c r="E59" s="47"/>
      <c r="F59" s="47"/>
      <c r="G59" s="47"/>
      <c r="H59" s="47"/>
    </row>
    <row r="60" spans="1:8" s="71" customFormat="1" ht="18">
      <c r="A60" s="47" t="s">
        <v>37</v>
      </c>
      <c r="B60" s="48"/>
      <c r="C60" s="48">
        <f>C59/51</f>
        <v>67.792500000000004</v>
      </c>
      <c r="D60" s="47"/>
      <c r="E60" s="47"/>
      <c r="F60" s="47"/>
      <c r="G60" s="47"/>
      <c r="H60" s="47"/>
    </row>
    <row r="61" spans="1:8" s="71" customFormat="1" ht="18">
      <c r="A61" s="72" t="s">
        <v>38</v>
      </c>
      <c r="B61" s="48"/>
      <c r="C61" s="78">
        <f>C60/B5</f>
        <v>2.7117000000000002E-2</v>
      </c>
      <c r="D61" s="47"/>
      <c r="E61" s="47"/>
      <c r="F61" s="47"/>
      <c r="G61" s="47"/>
      <c r="H61" s="47"/>
    </row>
    <row r="62" spans="1:8" s="71" customFormat="1">
      <c r="A62" s="72"/>
      <c r="B62" s="47"/>
      <c r="C62" s="47"/>
      <c r="D62" s="47"/>
      <c r="E62" s="47"/>
      <c r="F62" s="47"/>
      <c r="G62" s="47"/>
      <c r="H62" s="47"/>
    </row>
    <row r="63" spans="1:8" s="71" customFormat="1" ht="19">
      <c r="A63" s="79" t="s">
        <v>39</v>
      </c>
      <c r="B63" s="70" t="s">
        <v>25</v>
      </c>
      <c r="C63" s="70" t="s">
        <v>26</v>
      </c>
      <c r="D63" s="47"/>
      <c r="E63" s="47"/>
      <c r="F63" s="47"/>
      <c r="G63" s="47"/>
      <c r="H63" s="47"/>
    </row>
    <row r="64" spans="1:8" s="30" customFormat="1" ht="18">
      <c r="A64" s="52" t="s">
        <v>27</v>
      </c>
      <c r="B64" s="44">
        <f>B10</f>
        <v>68000</v>
      </c>
      <c r="C64" s="44">
        <f>B10</f>
        <v>68000</v>
      </c>
      <c r="D64" s="29"/>
      <c r="E64" s="29"/>
      <c r="F64" s="29"/>
      <c r="G64" s="29"/>
      <c r="H64" s="29"/>
    </row>
    <row r="65" spans="1:8" s="30" customFormat="1" ht="18">
      <c r="A65" s="52" t="s">
        <v>28</v>
      </c>
      <c r="B65" s="44">
        <v>0</v>
      </c>
      <c r="C65" s="44">
        <f>-B9*B6</f>
        <v>-17595</v>
      </c>
      <c r="D65" s="29"/>
      <c r="E65" s="29"/>
      <c r="F65" s="29"/>
      <c r="G65" s="29"/>
      <c r="H65" s="29"/>
    </row>
    <row r="66" spans="1:8" s="30" customFormat="1" ht="18">
      <c r="A66" s="52" t="s">
        <v>29</v>
      </c>
      <c r="B66" s="44">
        <v>-12950</v>
      </c>
      <c r="C66" s="44">
        <v>-12950</v>
      </c>
      <c r="D66" s="29"/>
      <c r="E66" s="29"/>
      <c r="F66" s="29"/>
      <c r="G66" s="29"/>
      <c r="H66" s="29"/>
    </row>
    <row r="67" spans="1:8" s="30" customFormat="1" ht="18">
      <c r="A67" s="52" t="s">
        <v>30</v>
      </c>
      <c r="B67" s="44">
        <f>B64+B65+B66</f>
        <v>55050</v>
      </c>
      <c r="C67" s="44">
        <f>C64+C65+C66</f>
        <v>37455</v>
      </c>
      <c r="D67" s="29"/>
      <c r="E67" s="29"/>
      <c r="F67" s="29"/>
      <c r="G67" s="29"/>
      <c r="H67" s="29"/>
    </row>
    <row r="68" spans="1:8" s="30" customFormat="1" ht="18">
      <c r="A68" s="53" t="s">
        <v>31</v>
      </c>
      <c r="B68" s="44"/>
      <c r="C68" s="44"/>
      <c r="D68" s="29"/>
      <c r="E68" s="29"/>
      <c r="F68" s="29"/>
      <c r="G68" s="29"/>
      <c r="H68" s="29"/>
    </row>
    <row r="69" spans="1:8" s="30" customFormat="1" ht="18">
      <c r="A69" s="52" t="s">
        <v>49</v>
      </c>
      <c r="B69" s="44">
        <f>10275*0.1</f>
        <v>1027.5</v>
      </c>
      <c r="C69" s="44">
        <f>10275*0.1</f>
        <v>1027.5</v>
      </c>
      <c r="D69" s="29"/>
      <c r="E69" s="29"/>
      <c r="F69" s="29"/>
      <c r="G69" s="29"/>
      <c r="H69" s="29"/>
    </row>
    <row r="70" spans="1:8" s="30" customFormat="1" ht="18">
      <c r="A70" s="52" t="s">
        <v>50</v>
      </c>
      <c r="B70" s="44">
        <f>(41775-10275)*0.12</f>
        <v>3780</v>
      </c>
      <c r="C70" s="44">
        <f>(C67-10275)*0.12</f>
        <v>3261.6</v>
      </c>
      <c r="D70" s="29"/>
      <c r="E70" s="29"/>
      <c r="F70" s="29"/>
      <c r="G70" s="29"/>
      <c r="H70" s="29"/>
    </row>
    <row r="71" spans="1:8" s="30" customFormat="1" ht="18">
      <c r="A71" s="52" t="s">
        <v>51</v>
      </c>
      <c r="B71" s="58">
        <f>D44*0.22</f>
        <v>2920.5</v>
      </c>
      <c r="C71" s="44"/>
      <c r="D71" s="29"/>
      <c r="E71" s="29"/>
      <c r="F71" s="29"/>
      <c r="G71" s="29"/>
      <c r="H71" s="29"/>
    </row>
    <row r="72" spans="1:8" s="30" customFormat="1" ht="18">
      <c r="A72" s="54" t="s">
        <v>32</v>
      </c>
      <c r="B72" s="44">
        <f>SUM(B69:B71)</f>
        <v>7728</v>
      </c>
      <c r="C72" s="44">
        <f>SUM(C69:C71)</f>
        <v>4289.1000000000004</v>
      </c>
      <c r="D72" s="29"/>
      <c r="E72" s="29"/>
      <c r="F72" s="29"/>
      <c r="G72" s="29"/>
      <c r="H72" s="29"/>
    </row>
    <row r="73" spans="1:8" s="30" customFormat="1" ht="18">
      <c r="A73" s="53" t="s">
        <v>33</v>
      </c>
      <c r="B73" s="44"/>
      <c r="C73" s="44"/>
      <c r="D73" s="29"/>
      <c r="E73" s="29"/>
      <c r="F73" s="29"/>
      <c r="G73" s="29"/>
      <c r="H73" s="29"/>
    </row>
    <row r="74" spans="1:8" s="30" customFormat="1" ht="18">
      <c r="A74" s="55" t="s">
        <v>34</v>
      </c>
      <c r="B74" s="44"/>
      <c r="C74" s="44">
        <f>B72-C72</f>
        <v>3438.8999999999996</v>
      </c>
      <c r="D74" s="29"/>
      <c r="E74" s="29"/>
      <c r="F74" s="29"/>
      <c r="G74" s="29"/>
      <c r="H74" s="29"/>
    </row>
    <row r="75" spans="1:8" s="30" customFormat="1" ht="18">
      <c r="A75" s="52" t="s">
        <v>35</v>
      </c>
      <c r="B75" s="44"/>
      <c r="C75" s="44">
        <f>-C65*0.0765</f>
        <v>1346.0174999999999</v>
      </c>
      <c r="D75" s="29"/>
      <c r="E75" s="29"/>
      <c r="F75" s="29"/>
      <c r="G75" s="29"/>
      <c r="H75" s="29"/>
    </row>
    <row r="76" spans="1:8" s="30" customFormat="1" ht="18">
      <c r="A76" s="56" t="s">
        <v>36</v>
      </c>
      <c r="B76" s="44"/>
      <c r="C76" s="44">
        <f>B72-C72+C75</f>
        <v>4784.9174999999996</v>
      </c>
      <c r="D76" s="29"/>
      <c r="E76" s="29"/>
      <c r="F76" s="29"/>
      <c r="G76" s="29"/>
      <c r="H76" s="29"/>
    </row>
    <row r="77" spans="1:8" s="30" customFormat="1" ht="18">
      <c r="A77" s="29" t="s">
        <v>37</v>
      </c>
      <c r="B77" s="44"/>
      <c r="C77" s="44">
        <f>C76/51</f>
        <v>93.821911764705874</v>
      </c>
      <c r="D77" s="29"/>
      <c r="E77" s="29"/>
      <c r="F77" s="29"/>
      <c r="G77" s="29"/>
      <c r="H77" s="29"/>
    </row>
    <row r="78" spans="1:8" s="30" customFormat="1" ht="18">
      <c r="A78" s="52" t="s">
        <v>38</v>
      </c>
      <c r="B78" s="59"/>
      <c r="C78" s="57">
        <f>C77/B5</f>
        <v>3.7528764705882352E-2</v>
      </c>
      <c r="D78" s="29"/>
      <c r="E78" s="29"/>
      <c r="F78" s="29"/>
      <c r="G78" s="29"/>
      <c r="H78" s="29"/>
    </row>
    <row r="79" spans="1:8" s="60" customFormat="1">
      <c r="C79" s="29"/>
      <c r="D79" s="29"/>
      <c r="E79" s="29"/>
      <c r="F79" s="29"/>
      <c r="G79" s="29"/>
      <c r="H79" s="29"/>
    </row>
  </sheetData>
  <sheetProtection algorithmName="SHA-512" hashValue="ypUrN4YYTHlaZ91ilxHJxw7lghiaFhGXTBDXF2lAIATqBU1yFzGOmVrbYymOL600zmue+QiYR5KsHnNsqJ0gRw==" saltValue="ef1SuVQ93qZgwISLOFAI5g==" spinCount="100000" sheet="1" objects="1" scenarios="1" selectLockedCells="1"/>
  <mergeCells count="8">
    <mergeCell ref="A2:H2"/>
    <mergeCell ref="A1:H1"/>
    <mergeCell ref="A38:B38"/>
    <mergeCell ref="H5:H6"/>
    <mergeCell ref="A4:B4"/>
    <mergeCell ref="D5:D6"/>
    <mergeCell ref="F5:F6"/>
    <mergeCell ref="E5:E6"/>
  </mergeCells>
  <hyperlinks>
    <hyperlink ref="B14" r:id="rId1" xr:uid="{199EC8FF-A913-104F-BC07-DB18B3E878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100% Per Diem Deduction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Sullivan</dc:creator>
  <cp:lastModifiedBy>Mark Sullivan</cp:lastModifiedBy>
  <dcterms:created xsi:type="dcterms:W3CDTF">2021-04-16T18:30:30Z</dcterms:created>
  <dcterms:modified xsi:type="dcterms:W3CDTF">2022-04-22T14:30:51Z</dcterms:modified>
</cp:coreProperties>
</file>